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<sst xmlns="http://schemas.openxmlformats.org/spreadsheetml/2006/main" count="33" uniqueCount="24">
  <si>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Projectile</t>
  </si>
  <si>
    <t>Target</t>
  </si>
  <si>
    <t>Theta proj max</t>
  </si>
  <si>
    <t>Taubar</t>
  </si>
  <si>
    <t>Tau</t>
  </si>
  <si>
    <t>Projectile mass</t>
  </si>
  <si>
    <t>Target mass</t>
  </si>
  <si>
    <t>Energy</t>
  </si>
  <si>
    <t>Theta</t>
  </si>
  <si>
    <t>CM</t>
  </si>
  <si>
    <t>Projectile Z</t>
  </si>
  <si>
    <t>Target Z</t>
  </si>
  <si>
    <t xml:space="preserve">Lab/CM solid </t>
  </si>
  <si>
    <t>angle factor</t>
  </si>
  <si>
    <t>Closest approach</t>
  </si>
  <si>
    <t>fm</t>
  </si>
  <si>
    <t>Cline safe distance (fm)</t>
  </si>
  <si>
    <t>Cline safe energy (MeV)</t>
  </si>
  <si>
    <t>Bombarding energy  (MeV)</t>
  </si>
  <si>
    <t>Excitation energy (MeV)</t>
  </si>
  <si>
    <t>Final energy (MeV)</t>
  </si>
  <si>
    <t>a (fm)</t>
  </si>
  <si>
    <t xml:space="preserve">Inelastic Scattering Kinematics </t>
  </si>
  <si>
    <t>Doug Cline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</si>
</sst>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0"/>
    <numFmt numFmtId="175" formatCode="0.000"/>
  </numFmts>
  <fonts count="35"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5" borderId="2" applyNumberFormat="0" applyAlignment="0" applyProtection="0"/>
    <xf numFmtId="171" fontId="0" fillId="0" borderId="0" applyFont="0" applyFill="0" applyBorder="0" applyAlignment="0" applyProtection="0"/>
    <xf numFmtId="0" fontId="22" fillId="26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173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1" borderId="9" applyNumberFormat="0" applyAlignment="0" applyProtection="0"/>
  </cellStyleXfs>
  <cellXfs count="8">
    <xf numFmtId="0" fontId="0" fillId="0" borderId="0" xfId="0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23.7109375" style="0" customWidth="1"/>
    <col min="2" max="3" width="9.140625" style="0" customWidth="1"/>
    <col min="4" max="5" width="9.28125" style="0" customWidth="1"/>
    <col min="6" max="6" width="8.140625" style="0" customWidth="1"/>
    <col min="7" max="7" width="11.8515625" style="0" customWidth="1"/>
    <col min="8" max="8" width="11.140625" style="0" customWidth="1"/>
    <col min="9" max="9" width="15.421875" style="1" customWidth="1"/>
    <col min="10" max="10" width="11.57421875" style="1" customWidth="1"/>
    <col min="11" max="11" width="13.421875" style="1" customWidth="1"/>
    <col min="12" max="12" width="15.421875" style="0" customWidth="1"/>
  </cols>
  <sheetData>
    <row r="1" spans="1:7" ht="18.75">
      <c r="A1" s="7" t="s">
        <v>22</v>
      </c>
      <c r="G1" s="7" t="s">
        <v>23</v>
      </c>
    </row>
    <row r="3" spans="1:2" ht="15">
      <c r="A3" t="s">
        <v>5</v>
      </c>
      <c r="B3">
        <v>58</v>
      </c>
    </row>
    <row r="4" spans="1:2" ht="15">
      <c r="A4" t="s">
        <v>10</v>
      </c>
      <c r="B4">
        <v>28</v>
      </c>
    </row>
    <row r="5" spans="1:2" ht="15">
      <c r="A5" t="s">
        <v>6</v>
      </c>
      <c r="B5">
        <v>112</v>
      </c>
    </row>
    <row r="6" spans="1:2" ht="15">
      <c r="A6" t="s">
        <v>11</v>
      </c>
      <c r="B6">
        <v>50</v>
      </c>
    </row>
    <row r="7" spans="1:2" ht="15">
      <c r="A7" t="s">
        <v>18</v>
      </c>
      <c r="B7">
        <v>175</v>
      </c>
    </row>
    <row r="8" spans="1:2" ht="15">
      <c r="A8" t="s">
        <v>19</v>
      </c>
      <c r="B8">
        <v>0</v>
      </c>
    </row>
    <row r="9" spans="1:2" ht="15">
      <c r="A9" t="s">
        <v>20</v>
      </c>
      <c r="B9" s="2">
        <f>(B7-B8*(1+(B3/B5)))</f>
        <v>175</v>
      </c>
    </row>
    <row r="10" spans="1:2" ht="15">
      <c r="A10" t="s">
        <v>16</v>
      </c>
      <c r="B10" s="2">
        <f>1.25*(B3^0.33333+B5^0.33333)+5</f>
        <v>15.863791204156676</v>
      </c>
    </row>
    <row r="11" spans="1:2" ht="15">
      <c r="A11" t="s">
        <v>17</v>
      </c>
      <c r="B11" s="2">
        <f>(1+(B3/B5))*1.44*B4*B6/(1.25*(B3^0.33333+B5^0.33333)+5)</f>
        <v>192.89210004215195</v>
      </c>
    </row>
    <row r="12" spans="1:2" ht="15">
      <c r="A12" t="s">
        <v>3</v>
      </c>
      <c r="B12">
        <f>SQRT(B7/B9)</f>
        <v>1</v>
      </c>
    </row>
    <row r="13" spans="1:2" ht="15">
      <c r="A13" t="s">
        <v>4</v>
      </c>
      <c r="B13">
        <f>B12*(B3/B5)</f>
        <v>0.5178571428571429</v>
      </c>
    </row>
    <row r="14" spans="1:2" ht="15">
      <c r="A14" t="s">
        <v>21</v>
      </c>
      <c r="B14">
        <f>0.71999*(1+(B3/B5))*B4*B6/B7</f>
        <v>8.742735714285715</v>
      </c>
    </row>
    <row r="15" spans="1:8" ht="15">
      <c r="A15" t="s">
        <v>2</v>
      </c>
      <c r="B15" t="e">
        <f>DEGREES(ASIN((1/B13)))</f>
        <v>#NUM!</v>
      </c>
      <c r="D15" s="3"/>
      <c r="E15" s="3"/>
      <c r="F15" s="3"/>
      <c r="G15" s="3"/>
      <c r="H15" s="3"/>
    </row>
    <row r="16" spans="4:8" ht="15">
      <c r="D16" s="3"/>
      <c r="E16" s="3"/>
      <c r="F16" s="3"/>
      <c r="G16" s="3"/>
      <c r="H16" s="3"/>
    </row>
    <row r="17" spans="1:9" ht="15">
      <c r="A17" s="6" t="s">
        <v>8</v>
      </c>
      <c r="B17" s="4" t="s">
        <v>8</v>
      </c>
      <c r="C17" s="4" t="s">
        <v>8</v>
      </c>
      <c r="D17" s="4" t="s">
        <v>8</v>
      </c>
      <c r="E17" s="4" t="s">
        <v>7</v>
      </c>
      <c r="F17" s="4" t="s">
        <v>7</v>
      </c>
      <c r="G17" s="5" t="s">
        <v>12</v>
      </c>
      <c r="H17" s="5" t="s">
        <v>13</v>
      </c>
      <c r="I17" s="5" t="s">
        <v>14</v>
      </c>
    </row>
    <row r="18" spans="1:9" ht="15">
      <c r="A18" s="6" t="s">
        <v>9</v>
      </c>
      <c r="B18" s="4" t="s">
        <v>0</v>
      </c>
      <c r="C18" s="4" t="s">
        <v>0</v>
      </c>
      <c r="D18" s="4" t="s">
        <v>1</v>
      </c>
      <c r="E18" s="4" t="s">
        <v>0</v>
      </c>
      <c r="F18" s="4" t="s">
        <v>1</v>
      </c>
      <c r="G18" s="5" t="s">
        <v>0</v>
      </c>
      <c r="H18" s="5" t="s">
        <v>1</v>
      </c>
      <c r="I18" s="5" t="s">
        <v>15</v>
      </c>
    </row>
    <row r="19" spans="1:9" ht="15">
      <c r="A19" s="3">
        <v>1</v>
      </c>
      <c r="B19" s="3">
        <f aca="true" t="shared" si="0" ref="B19:B24">DEGREES(ATAN(SIN(RADIANS(A19))/(COS(RADIANS(A19))+$B$13)))</f>
        <v>0.6588271544093693</v>
      </c>
      <c r="C19" s="3">
        <f aca="true" t="shared" si="1" ref="C19:C24">IF(B19&lt;0,180+B19,B19)</f>
        <v>0.6588271544093693</v>
      </c>
      <c r="D19" s="3">
        <f aca="true" t="shared" si="2" ref="D19:D24">DEGREES(ATAN(SIN(RADIANS(180-A19))/(COS(RADIANS(180-A19))+$B$12)))</f>
        <v>89.50000000000011</v>
      </c>
      <c r="E19" s="3">
        <f aca="true" t="shared" si="3" ref="E19:E24">($B$5*$B$5/(($B$3+$B$5)*($B$3+$B$5)))*(1+$B$13*$B$13+2*$B$13*COS(RADIANS(A19)))*$B$9</f>
        <v>174.98801798296094</v>
      </c>
      <c r="F19" s="3">
        <f aca="true" t="shared" si="4" ref="F19:F24">($B$3*$B$5/(($B$3+$B$5)*($B$3+$B$5)))*(1+$B$12*$B$12+2*$B$12*COS(RADIANS(180-A19)))*$B$9</f>
        <v>0.011982017039059151</v>
      </c>
      <c r="G19" s="1">
        <f aca="true" t="shared" si="5" ref="G19:G40">((SIN(RADIANS(C19))/SIN(RADIANS(A19)))^2)*COS(RADIANS(A19-C19))</f>
        <v>0.4340704680991324</v>
      </c>
      <c r="H19" s="1">
        <f aca="true" t="shared" si="6" ref="H19:H57">((SIN(RADIANS(D19))/SIN(RADIANS(180-A19)))^2)*COS(RADIANS(180-A19-D19))</f>
        <v>28.648253370039253</v>
      </c>
      <c r="I19" s="1">
        <f aca="true" t="shared" si="7" ref="I19:I24">$B$14*(1+(1/SIN(0.5*RADIANS(A19))))</f>
        <v>1010.5991672746453</v>
      </c>
    </row>
    <row r="20" spans="1:9" ht="15">
      <c r="A20" s="3">
        <v>2</v>
      </c>
      <c r="B20" s="3">
        <f t="shared" si="0"/>
        <v>1.3176760610536518</v>
      </c>
      <c r="C20" s="3">
        <f t="shared" si="1"/>
        <v>1.3176760610536518</v>
      </c>
      <c r="D20" s="3">
        <f t="shared" si="2"/>
        <v>89.00000000000006</v>
      </c>
      <c r="E20" s="3">
        <f t="shared" si="3"/>
        <v>174.95207558168224</v>
      </c>
      <c r="F20" s="3">
        <f t="shared" si="4"/>
        <v>0.04792441831778115</v>
      </c>
      <c r="G20" s="1">
        <f t="shared" si="5"/>
        <v>0.4341365549571037</v>
      </c>
      <c r="H20" s="1">
        <f t="shared" si="6"/>
        <v>14.324672124638207</v>
      </c>
      <c r="I20" s="1">
        <f t="shared" si="7"/>
        <v>509.6900260322925</v>
      </c>
    </row>
    <row r="21" spans="1:9" ht="15">
      <c r="A21" s="3">
        <v>5</v>
      </c>
      <c r="B21" s="3">
        <f t="shared" si="0"/>
        <v>3.2945710530638554</v>
      </c>
      <c r="C21" s="3">
        <f t="shared" si="1"/>
        <v>3.2945710530638554</v>
      </c>
      <c r="D21" s="3">
        <f t="shared" si="2"/>
        <v>87.50000000000001</v>
      </c>
      <c r="E21" s="3">
        <f t="shared" si="3"/>
        <v>174.70063202703784</v>
      </c>
      <c r="F21" s="3">
        <f t="shared" si="4"/>
        <v>0.2993679729621913</v>
      </c>
      <c r="G21" s="1">
        <f t="shared" si="5"/>
        <v>0.4345996371906564</v>
      </c>
      <c r="H21" s="1">
        <f t="shared" si="6"/>
        <v>5.731396406513365</v>
      </c>
      <c r="I21" s="1">
        <f t="shared" si="7"/>
        <v>209.17507193809755</v>
      </c>
    </row>
    <row r="22" spans="1:9" ht="15">
      <c r="A22" s="3">
        <v>8</v>
      </c>
      <c r="B22" s="3">
        <f t="shared" si="0"/>
        <v>5.272447261531066</v>
      </c>
      <c r="C22" s="3">
        <f t="shared" si="1"/>
        <v>5.272447261531066</v>
      </c>
      <c r="D22" s="3">
        <f t="shared" si="2"/>
        <v>86.00000000000001</v>
      </c>
      <c r="E22" s="3">
        <f t="shared" si="3"/>
        <v>174.23437650833338</v>
      </c>
      <c r="F22" s="3">
        <f t="shared" si="4"/>
        <v>0.7656234916666307</v>
      </c>
      <c r="G22" s="1">
        <f t="shared" si="5"/>
        <v>0.435461854163205</v>
      </c>
      <c r="H22" s="1">
        <f t="shared" si="6"/>
        <v>3.5838967565509448</v>
      </c>
      <c r="I22" s="1">
        <f t="shared" si="7"/>
        <v>134.07498439352753</v>
      </c>
    </row>
    <row r="23" spans="1:9" ht="15">
      <c r="A23" s="3">
        <v>10</v>
      </c>
      <c r="B23" s="3">
        <f t="shared" si="0"/>
        <v>6.591869591769466</v>
      </c>
      <c r="C23" s="3">
        <f t="shared" si="1"/>
        <v>6.591869591769466</v>
      </c>
      <c r="D23" s="3">
        <f t="shared" si="2"/>
        <v>84.99999999999999</v>
      </c>
      <c r="E23" s="3">
        <f t="shared" si="3"/>
        <v>173.80480647918878</v>
      </c>
      <c r="F23" s="3">
        <f t="shared" si="4"/>
        <v>1.195193520811206</v>
      </c>
      <c r="G23" s="1">
        <f t="shared" si="5"/>
        <v>0.43626030283720957</v>
      </c>
      <c r="H23" s="1">
        <f t="shared" si="6"/>
        <v>2.8684283114174574</v>
      </c>
      <c r="I23" s="1">
        <f t="shared" si="7"/>
        <v>109.05437828267662</v>
      </c>
    </row>
    <row r="24" spans="1:9" ht="15">
      <c r="A24" s="3">
        <v>15</v>
      </c>
      <c r="B24" s="3">
        <f t="shared" si="0"/>
        <v>9.894658543974423</v>
      </c>
      <c r="C24" s="3">
        <f t="shared" si="1"/>
        <v>9.894658543974423</v>
      </c>
      <c r="D24" s="3">
        <f t="shared" si="2"/>
        <v>82.5</v>
      </c>
      <c r="E24" s="3">
        <f t="shared" si="3"/>
        <v>172.31934112978638</v>
      </c>
      <c r="F24" s="3">
        <f t="shared" si="4"/>
        <v>2.680658870213652</v>
      </c>
      <c r="G24" s="1">
        <f t="shared" si="5"/>
        <v>0.43905189372414255</v>
      </c>
      <c r="H24" s="1">
        <f t="shared" si="6"/>
        <v>1.915324393885095</v>
      </c>
      <c r="I24" s="1">
        <f t="shared" si="7"/>
        <v>75.72343564573323</v>
      </c>
    </row>
    <row r="25" spans="1:9" ht="15">
      <c r="A25" s="3">
        <v>20</v>
      </c>
      <c r="B25" s="3">
        <f aca="true" t="shared" si="8" ref="B25:B57">DEGREES(ATAN(SIN(RADIANS(A25))/(COS(RADIANS(A25))+$B$13)))</f>
        <v>13.2057726361468</v>
      </c>
      <c r="C25" s="3">
        <f aca="true" t="shared" si="9" ref="C25:C57">IF(B25&lt;0,180+B25,B25)</f>
        <v>13.2057726361468</v>
      </c>
      <c r="D25" s="3">
        <f aca="true" t="shared" si="10" ref="D25:D57">DEGREES(ATAN(SIN(RADIANS(180-A25))/(COS(RADIANS(180-A25))+$B$12)))</f>
        <v>80</v>
      </c>
      <c r="E25" s="3">
        <f aca="true" t="shared" si="11" ref="E25:E57">($B$5*$B$5/(($B$3+$B$5)*($B$3+$B$5)))*(1+$B$13*$B$13+2*$B$13*COS(RADIANS(A25)))*$B$9</f>
        <v>170.25554126708795</v>
      </c>
      <c r="F25" s="3">
        <f aca="true" t="shared" si="12" ref="F25:F57">($B$3*$B$5/(($B$3+$B$5)*($B$3+$B$5)))*(1+$B$12*$B$12+2*$B$12*COS(RADIANS(180-A25)))*$B$9</f>
        <v>4.744458732912071</v>
      </c>
      <c r="G25" s="1">
        <f t="shared" si="5"/>
        <v>0.4430108612479926</v>
      </c>
      <c r="H25" s="1">
        <f t="shared" si="6"/>
        <v>1.4396926207859078</v>
      </c>
      <c r="I25" s="1">
        <f aca="true" t="shared" si="13" ref="I25:I57">$B$14*(1+(1/SIN(0.5*RADIANS(A25))))</f>
        <v>59.09014408763996</v>
      </c>
    </row>
    <row r="26" spans="1:9" ht="15">
      <c r="A26" s="3">
        <v>25</v>
      </c>
      <c r="B26" s="3">
        <f>DEGREES(ATAN(SIN(RADIANS(A26))/(COS(RADIANS(A26))+$B$13)))</f>
        <v>16.52815661504548</v>
      </c>
      <c r="C26" s="3">
        <f>IF(B26&lt;0,180+B26,B26)</f>
        <v>16.52815661504548</v>
      </c>
      <c r="D26" s="3">
        <f>DEGREES(ATAN(SIN(RADIANS(180-A26))/(COS(RADIANS(180-A26))+$B$12)))</f>
        <v>77.5</v>
      </c>
      <c r="E26" s="3">
        <f>($B$5*$B$5/(($B$3+$B$5)*($B$3+$B$5)))*(1+$B$13*$B$13+2*$B$13*COS(RADIANS(A26)))*$B$9</f>
        <v>167.62911365420513</v>
      </c>
      <c r="F26" s="3">
        <f>($B$3*$B$5/(($B$3+$B$5)*($B$3+$B$5)))*(1+$B$12*$B$12+2*$B$12*COS(RADIANS(180-A26)))*$B$9</f>
        <v>7.370886345794904</v>
      </c>
      <c r="G26" s="1">
        <f t="shared" si="5"/>
        <v>0.44818973223081343</v>
      </c>
      <c r="H26" s="1">
        <f t="shared" si="6"/>
        <v>1.1550565788363245</v>
      </c>
      <c r="I26" s="1">
        <f>$B$14*(1+(1/SIN(0.5*RADIANS(A26))))</f>
        <v>49.136153329537755</v>
      </c>
    </row>
    <row r="27" spans="1:9" ht="15">
      <c r="A27" s="3">
        <v>30</v>
      </c>
      <c r="B27" s="3">
        <f t="shared" si="8"/>
        <v>19.86490636161924</v>
      </c>
      <c r="C27" s="3">
        <f t="shared" si="9"/>
        <v>19.86490636161924</v>
      </c>
      <c r="D27" s="3">
        <f t="shared" si="10"/>
        <v>75</v>
      </c>
      <c r="E27" s="3">
        <f t="shared" si="11"/>
        <v>164.46004699115224</v>
      </c>
      <c r="F27" s="3">
        <f t="shared" si="12"/>
        <v>10.539953008847757</v>
      </c>
      <c r="G27" s="1">
        <f t="shared" si="5"/>
        <v>0.4546586915154328</v>
      </c>
      <c r="H27" s="1">
        <f t="shared" si="6"/>
        <v>0.9659258262890685</v>
      </c>
      <c r="I27" s="1">
        <f t="shared" si="13"/>
        <v>42.522072589679226</v>
      </c>
    </row>
    <row r="28" spans="1:9" ht="15">
      <c r="A28" s="3">
        <v>35</v>
      </c>
      <c r="B28" s="3">
        <f>DEGREES(ATAN(SIN(RADIANS(A28))/(COS(RADIANS(A28))+$B$13)))</f>
        <v>23.21931404283054</v>
      </c>
      <c r="C28" s="3">
        <f>IF(B28&lt;0,180+B28,B28)</f>
        <v>23.21931404283054</v>
      </c>
      <c r="D28" s="3">
        <f>DEGREES(ATAN(SIN(RADIANS(180-A28))/(COS(RADIANS(180-A28))+$B$12)))</f>
        <v>72.5</v>
      </c>
      <c r="E28" s="3">
        <f>($B$5*$B$5/(($B$3+$B$5)*($B$3+$B$5)))*(1+$B$13*$B$13+2*$B$13*COS(RADIANS(A28)))*$B$9</f>
        <v>160.77245978876996</v>
      </c>
      <c r="F28" s="3">
        <f>($B$3*$B$5/(($B$3+$B$5)*($B$3+$B$5)))*(1+$B$12*$B$12+2*$B$12*COS(RADIANS(180-A28)))*$B$9</f>
        <v>14.227540211230036</v>
      </c>
      <c r="G28" s="1">
        <f t="shared" si="5"/>
        <v>0.46250774885332047</v>
      </c>
      <c r="H28" s="1">
        <f t="shared" si="6"/>
        <v>0.8313773808557606</v>
      </c>
      <c r="I28" s="1">
        <f>$B$14*(1+(1/SIN(0.5*RADIANS(A28))))</f>
        <v>37.81678659291361</v>
      </c>
    </row>
    <row r="29" spans="1:9" ht="15">
      <c r="A29" s="3">
        <v>40</v>
      </c>
      <c r="B29" s="3">
        <f t="shared" si="8"/>
        <v>26.594918615170805</v>
      </c>
      <c r="C29" s="3">
        <f t="shared" si="9"/>
        <v>26.594918615170805</v>
      </c>
      <c r="D29" s="3">
        <f t="shared" si="10"/>
        <v>70</v>
      </c>
      <c r="E29" s="3">
        <f t="shared" si="11"/>
        <v>156.59441681229444</v>
      </c>
      <c r="F29" s="3">
        <f t="shared" si="12"/>
        <v>18.4055831877056</v>
      </c>
      <c r="G29" s="1">
        <f t="shared" si="5"/>
        <v>0.47184960169528484</v>
      </c>
      <c r="H29" s="1">
        <f t="shared" si="6"/>
        <v>0.7309511000407716</v>
      </c>
      <c r="I29" s="1">
        <f t="shared" si="13"/>
        <v>34.30478486517726</v>
      </c>
    </row>
    <row r="30" spans="1:9" ht="15">
      <c r="A30" s="3">
        <v>45</v>
      </c>
      <c r="B30" s="3">
        <f>DEGREES(ATAN(SIN(RADIANS(A30))/(COS(RADIANS(A30))+$B$13)))</f>
        <v>29.99556321993891</v>
      </c>
      <c r="C30" s="3">
        <f>IF(B30&lt;0,180+B30,B30)</f>
        <v>29.99556321993891</v>
      </c>
      <c r="D30" s="3">
        <f>DEGREES(ATAN(SIN(RADIANS(180-A30))/(COS(RADIANS(180-A30))+$B$12)))</f>
        <v>67.5</v>
      </c>
      <c r="E30" s="3">
        <f>($B$5*$B$5/(($B$3+$B$5)*($B$3+$B$5)))*(1+$B$13*$B$13+2*$B$13*COS(RADIANS(A30)))*$B$9</f>
        <v>151.95771549154793</v>
      </c>
      <c r="F30" s="3">
        <f>($B$3*$B$5/(($B$3+$B$5)*($B$3+$B$5)))*(1+$B$12*$B$12+2*$B$12*COS(RADIANS(180-A30)))*$B$9</f>
        <v>23.0422845084521</v>
      </c>
      <c r="G30" s="1">
        <f t="shared" si="5"/>
        <v>0.48282334551123796</v>
      </c>
      <c r="H30" s="1">
        <f t="shared" si="6"/>
        <v>0.6532814824381882</v>
      </c>
      <c r="I30" s="1">
        <f>$B$14*(1+(1/SIN(0.5*RADIANS(A30))))</f>
        <v>31.588605106261173</v>
      </c>
    </row>
    <row r="31" spans="1:9" ht="15">
      <c r="A31" s="3">
        <v>50</v>
      </c>
      <c r="B31" s="3">
        <f t="shared" si="8"/>
        <v>33.425461306878525</v>
      </c>
      <c r="C31" s="3">
        <f t="shared" si="9"/>
        <v>33.425461306878525</v>
      </c>
      <c r="D31" s="3">
        <f t="shared" si="10"/>
        <v>65</v>
      </c>
      <c r="E31" s="3">
        <f t="shared" si="11"/>
        <v>146.89764392329812</v>
      </c>
      <c r="F31" s="3">
        <f t="shared" si="12"/>
        <v>28.10235607670187</v>
      </c>
      <c r="G31" s="1">
        <f t="shared" si="5"/>
        <v>0.4955992343567998</v>
      </c>
      <c r="H31" s="1">
        <f t="shared" si="6"/>
        <v>0.5915503957881246</v>
      </c>
      <c r="I31" s="1">
        <f t="shared" si="13"/>
        <v>29.429810802512463</v>
      </c>
    </row>
    <row r="32" spans="1:9" ht="15">
      <c r="A32" s="3">
        <v>55</v>
      </c>
      <c r="B32" s="3">
        <f>DEGREES(ATAN(SIN(RADIANS(A32))/(COS(RADIANS(A32))+$B$13)))</f>
        <v>36.889273704971444</v>
      </c>
      <c r="C32" s="3">
        <f>IF(B32&lt;0,180+B32,B32)</f>
        <v>36.889273704971444</v>
      </c>
      <c r="D32" s="3">
        <f>DEGREES(ATAN(SIN(RADIANS(180-A32))/(COS(RADIANS(180-A32))+$B$12)))</f>
        <v>62.50000000000001</v>
      </c>
      <c r="E32" s="3">
        <f>($B$5*$B$5/(($B$3+$B$5)*($B$3+$B$5)))*(1+$B$13*$B$13+2*$B$13*COS(RADIANS(A32)))*$B$9</f>
        <v>141.45271230753423</v>
      </c>
      <c r="F32" s="3">
        <f>($B$3*$B$5/(($B$3+$B$5)*($B$3+$B$5)))*(1+$B$12*$B$12+2*$B$12*COS(RADIANS(180-A32)))*$B$9</f>
        <v>33.547287692465794</v>
      </c>
      <c r="G32" s="1">
        <f t="shared" si="5"/>
        <v>0.5103847605498503</v>
      </c>
      <c r="H32" s="1">
        <f t="shared" si="6"/>
        <v>0.5414201425500503</v>
      </c>
      <c r="I32" s="1">
        <f>$B$14*(1+(1/SIN(0.5*RADIANS(A32))))</f>
        <v>27.676708581109658</v>
      </c>
    </row>
    <row r="33" spans="1:9" ht="15">
      <c r="A33" s="3">
        <v>60</v>
      </c>
      <c r="B33" s="3">
        <f t="shared" si="8"/>
        <v>40.39219934641289</v>
      </c>
      <c r="C33" s="3">
        <f t="shared" si="9"/>
        <v>40.39219934641289</v>
      </c>
      <c r="D33" s="3">
        <f t="shared" si="10"/>
        <v>59.99999999999999</v>
      </c>
      <c r="E33" s="3">
        <f t="shared" si="11"/>
        <v>135.66435986159172</v>
      </c>
      <c r="F33" s="3">
        <f t="shared" si="12"/>
        <v>39.33564013840832</v>
      </c>
      <c r="G33" s="1">
        <f t="shared" si="5"/>
        <v>0.527432408690283</v>
      </c>
      <c r="H33" s="1">
        <f t="shared" si="6"/>
        <v>0.4999999999999998</v>
      </c>
      <c r="I33" s="1">
        <f t="shared" si="13"/>
        <v>26.228207142857148</v>
      </c>
    </row>
    <row r="34" spans="1:9" ht="15">
      <c r="A34" s="3">
        <v>65</v>
      </c>
      <c r="B34" s="3">
        <f>DEGREES(ATAN(SIN(RADIANS(A34))/(COS(RADIANS(A34))+$B$13)))</f>
        <v>43.94008296547029</v>
      </c>
      <c r="C34" s="3">
        <f>IF(B34&lt;0,180+B34,B34)</f>
        <v>43.94008296547029</v>
      </c>
      <c r="D34" s="3">
        <f>DEGREES(ATAN(SIN(RADIANS(180-A34))/(COS(RADIANS(180-A34))+$B$12)))</f>
        <v>57.5</v>
      </c>
      <c r="E34" s="3">
        <f>($B$5*$B$5/(($B$3+$B$5)*($B$3+$B$5)))*(1+$B$13*$B$13+2*$B$13*COS(RADIANS(A34)))*$B$9</f>
        <v>129.576639442687</v>
      </c>
      <c r="F34" s="3">
        <f>($B$3*$B$5/(($B$3+$B$5)*($B$3+$B$5)))*(1+$B$12*$B$12+2*$B$12*COS(RADIANS(180-A34)))*$B$9</f>
        <v>45.42336055731302</v>
      </c>
      <c r="G34" s="1">
        <f t="shared" si="5"/>
        <v>0.5470495525111124</v>
      </c>
      <c r="H34" s="1">
        <f t="shared" si="6"/>
        <v>0.46528974917589444</v>
      </c>
      <c r="I34" s="1">
        <f>$B$14*(1+(1/SIN(0.5*RADIANS(A34))))</f>
        <v>25.014356944730256</v>
      </c>
    </row>
    <row r="35" spans="1:9" ht="15">
      <c r="A35" s="3">
        <v>70</v>
      </c>
      <c r="B35" s="3">
        <f t="shared" si="8"/>
        <v>47.53954386505726</v>
      </c>
      <c r="C35" s="3">
        <f t="shared" si="9"/>
        <v>47.53954386505726</v>
      </c>
      <c r="D35" s="3">
        <f t="shared" si="10"/>
        <v>55</v>
      </c>
      <c r="E35" s="3">
        <f t="shared" si="11"/>
        <v>123.23588227907409</v>
      </c>
      <c r="F35" s="3">
        <f t="shared" si="12"/>
        <v>51.764117720925945</v>
      </c>
      <c r="G35" s="1">
        <f t="shared" si="5"/>
        <v>0.5696111115757563</v>
      </c>
      <c r="H35" s="1">
        <f t="shared" si="6"/>
        <v>0.4358616989052745</v>
      </c>
      <c r="I35" s="1">
        <f t="shared" si="13"/>
        <v>23.98523028031928</v>
      </c>
    </row>
    <row r="36" spans="1:9" ht="15">
      <c r="A36" s="3">
        <v>75</v>
      </c>
      <c r="B36" s="3">
        <f>DEGREES(ATAN(SIN(RADIANS(A36))/(COS(RADIANS(A36))+$B$13)))</f>
        <v>51.19813079912818</v>
      </c>
      <c r="C36" s="3">
        <f>IF(B36&lt;0,180+B36,B36)</f>
        <v>51.19813079912818</v>
      </c>
      <c r="D36" s="3">
        <f>DEGREES(ATAN(SIN(RADIANS(180-A36))/(COS(RADIANS(180-A36))+$B$12)))</f>
        <v>52.50000000000001</v>
      </c>
      <c r="E36" s="3">
        <f>($B$5*$B$5/(($B$3+$B$5)*($B$3+$B$5)))*(1+$B$13*$B$13+2*$B$13*COS(RADIANS(A36)))*$B$9</f>
        <v>116.69034536142186</v>
      </c>
      <c r="F36" s="3">
        <f>($B$3*$B$5/(($B$3+$B$5)*($B$3+$B$5)))*(1+$B$12*$B$12+2*$B$12*COS(RADIANS(180-A36)))*$B$9</f>
        <v>58.30965463857815</v>
      </c>
      <c r="G36" s="1">
        <f t="shared" si="5"/>
        <v>0.5955757787426079</v>
      </c>
      <c r="H36" s="1">
        <f t="shared" si="6"/>
        <v>0.4106699079261456</v>
      </c>
      <c r="I36" s="1">
        <f>$B$14*(1+(1/SIN(0.5*RADIANS(A36))))</f>
        <v>23.10424959751906</v>
      </c>
    </row>
    <row r="37" spans="1:9" ht="15">
      <c r="A37" s="3">
        <v>80</v>
      </c>
      <c r="B37" s="3">
        <f t="shared" si="8"/>
        <v>54.92450918391442</v>
      </c>
      <c r="C37" s="3">
        <f t="shared" si="9"/>
        <v>54.92450918391442</v>
      </c>
      <c r="D37" s="3">
        <f t="shared" si="10"/>
        <v>49.99999999999999</v>
      </c>
      <c r="E37" s="3">
        <f t="shared" si="11"/>
        <v>109.98984417797693</v>
      </c>
      <c r="F37" s="3">
        <f t="shared" si="12"/>
        <v>65.0101558220231</v>
      </c>
      <c r="G37" s="1">
        <f t="shared" si="5"/>
        <v>0.6255068797625756</v>
      </c>
      <c r="H37" s="1">
        <f t="shared" si="6"/>
        <v>0.3889309567151029</v>
      </c>
      <c r="I37" s="1">
        <f t="shared" si="13"/>
        <v>22.34401797694349</v>
      </c>
    </row>
    <row r="38" spans="1:9" ht="15">
      <c r="A38" s="3">
        <v>85</v>
      </c>
      <c r="B38" s="3">
        <f>DEGREES(ATAN(SIN(RADIANS(A38))/(COS(RADIANS(A38))+$B$13)))</f>
        <v>58.72868823723513</v>
      </c>
      <c r="C38" s="3">
        <f>IF(B38&lt;0,180+B38,B38)</f>
        <v>58.72868823723513</v>
      </c>
      <c r="D38" s="3">
        <f>DEGREES(ATAN(SIN(RADIANS(180-A38))/(COS(RADIANS(180-A38))+$B$12)))</f>
        <v>47.5</v>
      </c>
      <c r="E38" s="3">
        <f>($B$5*$B$5/(($B$3+$B$5)*($B$3+$B$5)))*(1+$B$13*$B$13+2*$B$13*COS(RADIANS(A38)))*$B$9</f>
        <v>103.18537358861855</v>
      </c>
      <c r="F38" s="3">
        <f>($B$3*$B$5/(($B$3+$B$5)*($B$3+$B$5)))*(1+$B$12*$B$12+2*$B$12*COS(RADIANS(180-A38)))*$B$9</f>
        <v>71.81462641138145</v>
      </c>
      <c r="G38" s="1">
        <f t="shared" si="5"/>
        <v>0.6600992433312984</v>
      </c>
      <c r="H38" s="1">
        <f t="shared" si="6"/>
        <v>0.37004680823056535</v>
      </c>
      <c r="I38" s="1">
        <f>$B$14*(1+(1/SIN(0.5*RADIANS(A38))))</f>
        <v>21.683621499384913</v>
      </c>
    </row>
    <row r="39" spans="1:9" ht="15">
      <c r="A39" s="3">
        <v>90</v>
      </c>
      <c r="B39" s="3">
        <f t="shared" si="8"/>
        <v>62.622297228668266</v>
      </c>
      <c r="C39" s="3">
        <f t="shared" si="9"/>
        <v>62.622297228668266</v>
      </c>
      <c r="D39" s="3">
        <f t="shared" si="10"/>
        <v>45</v>
      </c>
      <c r="E39" s="3">
        <f t="shared" si="11"/>
        <v>96.3287197231834</v>
      </c>
      <c r="F39" s="3">
        <f t="shared" si="12"/>
        <v>78.67128027681662</v>
      </c>
      <c r="G39" s="1">
        <f t="shared" si="5"/>
        <v>0.7002138464907152</v>
      </c>
      <c r="H39" s="1">
        <f t="shared" si="6"/>
        <v>0.35355339059327373</v>
      </c>
      <c r="I39" s="1">
        <f t="shared" si="13"/>
        <v>21.1068311336722</v>
      </c>
    </row>
    <row r="40" spans="1:9" ht="15">
      <c r="A40" s="3">
        <v>95</v>
      </c>
      <c r="B40" s="3">
        <f>DEGREES(ATAN(SIN(RADIANS(A40))/(COS(RADIANS(A40))+$B$13)))</f>
        <v>66.61892170213169</v>
      </c>
      <c r="C40" s="3">
        <f>IF(B40&lt;0,180+B40,B40)</f>
        <v>66.61892170213169</v>
      </c>
      <c r="D40" s="3">
        <f>DEGREES(ATAN(SIN(RADIANS(180-A40))/(COS(RADIANS(180-A40))+$B$12)))</f>
        <v>42.5</v>
      </c>
      <c r="E40" s="3">
        <f>($B$5*$B$5/(($B$3+$B$5)*($B$3+$B$5)))*(1+$B$13*$B$13+2*$B$13*COS(RADIANS(A40)))*$B$9</f>
        <v>89.47206585774826</v>
      </c>
      <c r="F40" s="3">
        <f>($B$3*$B$5/(($B$3+$B$5)*($B$3+$B$5)))*(1+$B$12*$B$12+2*$B$12*COS(RADIANS(180-A40)))*$B$9</f>
        <v>85.52793414225175</v>
      </c>
      <c r="G40" s="1">
        <f t="shared" si="5"/>
        <v>0.7469224397421929</v>
      </c>
      <c r="H40" s="1">
        <f t="shared" si="6"/>
        <v>0.33908542622731414</v>
      </c>
      <c r="I40" s="1">
        <f>$B$14*(1+(1/SIN(0.5*RADIANS(A40))))</f>
        <v>20.60087277857105</v>
      </c>
    </row>
    <row r="41" spans="1:9" ht="15">
      <c r="A41" s="3">
        <v>100</v>
      </c>
      <c r="B41" s="3">
        <f t="shared" si="8"/>
        <v>70.73451204502705</v>
      </c>
      <c r="C41" s="3">
        <f t="shared" si="9"/>
        <v>70.73451204502705</v>
      </c>
      <c r="D41" s="3">
        <f t="shared" si="10"/>
        <v>39.99999999999999</v>
      </c>
      <c r="E41" s="3">
        <f t="shared" si="11"/>
        <v>82.66759526838987</v>
      </c>
      <c r="F41" s="3">
        <f t="shared" si="12"/>
        <v>92.33240473161015</v>
      </c>
      <c r="G41" s="1">
        <f>ABS(((SIN(RADIANS(C41))/SIN(RADIANS(A41)))^2)*COS(RADIANS(A41-C41)))</f>
        <v>0.8015647841475446</v>
      </c>
      <c r="H41" s="1">
        <f t="shared" si="6"/>
        <v>0.32635182233306964</v>
      </c>
      <c r="I41" s="1">
        <f t="shared" si="13"/>
        <v>20.155566644419935</v>
      </c>
    </row>
    <row r="42" spans="1:9" ht="15">
      <c r="A42" s="3">
        <v>105</v>
      </c>
      <c r="B42" s="3">
        <f>DEGREES(ATAN(SIN(RADIANS(A42))/(COS(RADIANS(A42))+$B$13)))</f>
        <v>74.98787755288885</v>
      </c>
      <c r="C42" s="3">
        <f>IF(B42&lt;0,180+B42,B42)</f>
        <v>74.98787755288885</v>
      </c>
      <c r="D42" s="3">
        <f>DEGREES(ATAN(SIN(RADIANS(180-A42))/(COS(RADIANS(180-A42))+$B$12)))</f>
        <v>37.5</v>
      </c>
      <c r="E42" s="3">
        <f>($B$5*$B$5/(($B$3+$B$5)*($B$3+$B$5)))*(1+$B$13*$B$13+2*$B$13*COS(RADIANS(A42)))*$B$9</f>
        <v>75.96709408494495</v>
      </c>
      <c r="F42" s="3">
        <f>($B$3*$B$5/(($B$3+$B$5)*($B$3+$B$5)))*(1+$B$12*$B$12+2*$B$12*COS(RADIANS(180-A42)))*$B$9</f>
        <v>99.03290591505507</v>
      </c>
      <c r="G42" s="1">
        <f aca="true" t="shared" si="14" ref="G42:G57">ABS(((SIN(RADIANS(C42))/SIN(RADIANS(A42)))^2)*COS(RADIANS(A42-C42)))</f>
        <v>0.8658213790650553</v>
      </c>
      <c r="H42" s="1">
        <f t="shared" si="6"/>
        <v>0.31511810350256614</v>
      </c>
      <c r="I42" s="1">
        <f>$B$14*(1+(1/SIN(0.5*RADIANS(A42))))</f>
        <v>19.76271290512518</v>
      </c>
    </row>
    <row r="43" spans="1:9" ht="15">
      <c r="A43" s="3">
        <v>110</v>
      </c>
      <c r="B43" s="3">
        <f t="shared" si="8"/>
        <v>79.40127801770203</v>
      </c>
      <c r="C43" s="3">
        <f t="shared" si="9"/>
        <v>79.40127801770203</v>
      </c>
      <c r="D43" s="3">
        <f t="shared" si="10"/>
        <v>34.99999999999999</v>
      </c>
      <c r="E43" s="3">
        <f t="shared" si="11"/>
        <v>69.42155716729272</v>
      </c>
      <c r="F43" s="3">
        <f t="shared" si="12"/>
        <v>105.5784428327073</v>
      </c>
      <c r="G43" s="1">
        <f t="shared" si="14"/>
        <v>0.9418042322837905</v>
      </c>
      <c r="H43" s="1">
        <f t="shared" si="6"/>
        <v>0.3051936471903639</v>
      </c>
      <c r="I43" s="1">
        <f t="shared" si="13"/>
        <v>19.415645310542953</v>
      </c>
    </row>
    <row r="44" spans="1:9" ht="15">
      <c r="A44" s="3">
        <v>115</v>
      </c>
      <c r="B44" s="3">
        <f>DEGREES(ATAN(SIN(RADIANS(A44))/(COS(RADIANS(A44))+$B$13)))</f>
        <v>84.0011196161585</v>
      </c>
      <c r="C44" s="3">
        <f>IF(B44&lt;0,180+B44,B44)</f>
        <v>84.0011196161585</v>
      </c>
      <c r="D44" s="3">
        <f>DEGREES(ATAN(SIN(RADIANS(180-A44))/(COS(RADIANS(180-A44))+$B$12)))</f>
        <v>32.49999999999999</v>
      </c>
      <c r="E44" s="3">
        <f>($B$5*$B$5/(($B$3+$B$5)*($B$3+$B$5)))*(1+$B$13*$B$13+2*$B$13*COS(RADIANS(A44)))*$B$9</f>
        <v>63.08080000367979</v>
      </c>
      <c r="F44" s="3">
        <f>($B$3*$B$5/(($B$3+$B$5)*($B$3+$B$5)))*(1+$B$12*$B$12+2*$B$12*COS(RADIANS(180-A44)))*$B$9</f>
        <v>111.91919999632023</v>
      </c>
      <c r="G44" s="1">
        <f t="shared" si="14"/>
        <v>1.032166484702707</v>
      </c>
      <c r="H44" s="1">
        <f t="shared" si="6"/>
        <v>0.2964222618585401</v>
      </c>
      <c r="I44" s="1">
        <f>$B$14*(1+(1/SIN(0.5*RADIANS(A44))))</f>
        <v>19.10890169532576</v>
      </c>
    </row>
    <row r="45" spans="1:9" ht="15">
      <c r="A45" s="3">
        <v>120</v>
      </c>
      <c r="B45" s="3">
        <f t="shared" si="8"/>
        <v>88.81874833035617</v>
      </c>
      <c r="C45" s="3">
        <f t="shared" si="9"/>
        <v>88.81874833035617</v>
      </c>
      <c r="D45" s="3">
        <f t="shared" si="10"/>
        <v>29.999999999999996</v>
      </c>
      <c r="E45" s="3">
        <f t="shared" si="11"/>
        <v>56.99307958477511</v>
      </c>
      <c r="F45" s="3">
        <f t="shared" si="12"/>
        <v>118.00692041522493</v>
      </c>
      <c r="G45" s="1">
        <f t="shared" si="14"/>
        <v>1.1402268406245548</v>
      </c>
      <c r="H45" s="1">
        <f t="shared" si="6"/>
        <v>0.28867513459481287</v>
      </c>
      <c r="I45" s="1">
        <f t="shared" si="13"/>
        <v>18.83797735047894</v>
      </c>
    </row>
    <row r="46" spans="1:9" ht="15">
      <c r="A46" s="3">
        <v>125</v>
      </c>
      <c r="B46" s="3">
        <f>DEGREES(ATAN(SIN(RADIANS(A46))/(COS(RADIANS(A46))+$B$13)))</f>
        <v>-86.10869517069705</v>
      </c>
      <c r="C46" s="3">
        <f>IF(B46&lt;0,180+B46,B46)</f>
        <v>93.89130482930295</v>
      </c>
      <c r="D46" s="3">
        <f>DEGREES(ATAN(SIN(RADIANS(180-A46))/(COS(RADIANS(180-A46))+$B$12)))</f>
        <v>27.500000000000004</v>
      </c>
      <c r="E46" s="3">
        <f>($B$5*$B$5/(($B$3+$B$5)*($B$3+$B$5)))*(1+$B$13*$B$13+2*$B$13*COS(RADIANS(A46)))*$B$9</f>
        <v>51.20472713883258</v>
      </c>
      <c r="F46" s="3">
        <f>($B$3*$B$5/(($B$3+$B$5)*($B$3+$B$5)))*(1+$B$12*$B$12+2*$B$12*COS(RADIANS(180-A46)))*$B$9</f>
        <v>123.7952728611674</v>
      </c>
      <c r="G46" s="1">
        <f t="shared" si="14"/>
        <v>1.2700934597385023</v>
      </c>
      <c r="H46" s="1">
        <f t="shared" si="6"/>
        <v>0.2818454867165856</v>
      </c>
      <c r="I46" s="1">
        <f>$B$14*(1+(1/SIN(0.5*RADIANS(A46))))</f>
        <v>18.599138124795047</v>
      </c>
    </row>
    <row r="47" spans="1:9" ht="15">
      <c r="A47" s="3">
        <v>130</v>
      </c>
      <c r="B47" s="3">
        <f t="shared" si="8"/>
        <v>-80.73745313948586</v>
      </c>
      <c r="C47" s="3">
        <f t="shared" si="9"/>
        <v>99.26254686051414</v>
      </c>
      <c r="D47" s="3">
        <f t="shared" si="10"/>
        <v>25</v>
      </c>
      <c r="E47" s="3">
        <f t="shared" si="11"/>
        <v>45.75979552306866</v>
      </c>
      <c r="F47" s="3">
        <f t="shared" si="12"/>
        <v>129.24020447693135</v>
      </c>
      <c r="G47" s="1">
        <f t="shared" si="14"/>
        <v>1.4267481958700632</v>
      </c>
      <c r="H47" s="1">
        <f t="shared" si="6"/>
        <v>0.2758444797406229</v>
      </c>
      <c r="I47" s="1">
        <f t="shared" si="13"/>
        <v>18.38927725275334</v>
      </c>
    </row>
    <row r="48" spans="1:9" ht="15">
      <c r="A48" s="3">
        <v>135</v>
      </c>
      <c r="B48" s="3">
        <f>DEGREES(ATAN(SIN(RADIANS(A48))/(COS(RADIANS(A48))+$B$13)))</f>
        <v>-75.01656179199853</v>
      </c>
      <c r="C48" s="3">
        <f>IF(B48&lt;0,180+B48,B48)</f>
        <v>104.98343820800147</v>
      </c>
      <c r="D48" s="3">
        <f>DEGREES(ATAN(SIN(RADIANS(180-A48))/(COS(RADIANS(180-A48))+$B$12)))</f>
        <v>22.5</v>
      </c>
      <c r="E48" s="3">
        <f>($B$5*$B$5/(($B$3+$B$5)*($B$3+$B$5)))*(1+$B$13*$B$13+2*$B$13*COS(RADIANS(A48)))*$B$9</f>
        <v>40.699723954818886</v>
      </c>
      <c r="F48" s="3">
        <f>($B$3*$B$5/(($B$3+$B$5)*($B$3+$B$5)))*(1+$B$12*$B$12+2*$B$12*COS(RADIANS(180-A48)))*$B$9</f>
        <v>134.3002760451811</v>
      </c>
      <c r="G48" s="1">
        <f t="shared" si="14"/>
        <v>1.616005805961824</v>
      </c>
      <c r="H48" s="1">
        <f t="shared" si="6"/>
        <v>0.2705980500730985</v>
      </c>
      <c r="I48" s="1">
        <f>$B$14*(1+(1/SIN(0.5*RADIANS(A48))))</f>
        <v>18.205804660646322</v>
      </c>
    </row>
    <row r="49" spans="1:9" ht="15">
      <c r="A49" s="3">
        <v>140</v>
      </c>
      <c r="B49" s="3">
        <f t="shared" si="8"/>
        <v>-68.88788195631754</v>
      </c>
      <c r="C49" s="3">
        <f t="shared" si="9"/>
        <v>111.11211804368246</v>
      </c>
      <c r="D49" s="3">
        <f t="shared" si="10"/>
        <v>20</v>
      </c>
      <c r="E49" s="3">
        <f t="shared" si="11"/>
        <v>36.06302263407239</v>
      </c>
      <c r="F49" s="3">
        <f t="shared" si="12"/>
        <v>138.93697736592762</v>
      </c>
      <c r="G49" s="1">
        <f t="shared" si="14"/>
        <v>1.8441802784886288</v>
      </c>
      <c r="H49" s="1">
        <f t="shared" si="6"/>
        <v>0.26604444311897807</v>
      </c>
      <c r="I49" s="1">
        <f t="shared" si="13"/>
        <v>18.04656073205989</v>
      </c>
    </row>
    <row r="50" spans="1:9" ht="15">
      <c r="A50" s="3">
        <v>145</v>
      </c>
      <c r="B50" s="3">
        <f>DEGREES(ATAN(SIN(RADIANS(A50))/(COS(RADIANS(A50))+$B$13)))</f>
        <v>-62.287429935514126</v>
      </c>
      <c r="C50" s="3">
        <f>IF(B50&lt;0,180+B50,B50)</f>
        <v>117.71257006448587</v>
      </c>
      <c r="D50" s="3">
        <f>DEGREES(ATAN(SIN(RADIANS(180-A50))/(COS(RADIANS(180-A50))+$B$12)))</f>
        <v>17.5</v>
      </c>
      <c r="E50" s="3">
        <f>($B$5*$B$5/(($B$3+$B$5)*($B$3+$B$5)))*(1+$B$13*$B$13+2*$B$13*COS(RADIANS(A50)))*$B$9</f>
        <v>31.88497965759682</v>
      </c>
      <c r="F50" s="3">
        <f>($B$3*$B$5/(($B$3+$B$5)*($B$3+$B$5)))*(1+$B$12*$B$12+2*$B$12*COS(RADIANS(180-A50)))*$B$9</f>
        <v>143.1150203424032</v>
      </c>
      <c r="G50" s="1">
        <f t="shared" si="14"/>
        <v>2.117161570304292</v>
      </c>
      <c r="H50" s="1">
        <f t="shared" si="6"/>
        <v>0.26213228128520266</v>
      </c>
      <c r="I50" s="1">
        <f>$B$14*(1+(1/SIN(0.5*RADIANS(A50))))</f>
        <v>17.909748744123036</v>
      </c>
    </row>
    <row r="51" spans="1:9" ht="15">
      <c r="A51" s="3">
        <v>150</v>
      </c>
      <c r="B51" s="3">
        <f t="shared" si="8"/>
        <v>-55.1490961069399</v>
      </c>
      <c r="C51" s="3">
        <f t="shared" si="9"/>
        <v>124.85090389306009</v>
      </c>
      <c r="D51" s="3">
        <f t="shared" si="10"/>
        <v>14.999999999999996</v>
      </c>
      <c r="E51" s="3">
        <f t="shared" si="11"/>
        <v>28.19739245521454</v>
      </c>
      <c r="F51" s="3">
        <f t="shared" si="12"/>
        <v>146.80260754478547</v>
      </c>
      <c r="G51" s="1">
        <f t="shared" si="14"/>
        <v>2.438452131188497</v>
      </c>
      <c r="H51" s="1">
        <f t="shared" si="6"/>
        <v>0.2588190451025207</v>
      </c>
      <c r="I51" s="1">
        <f t="shared" si="13"/>
        <v>17.793881750906248</v>
      </c>
    </row>
    <row r="52" spans="1:9" ht="15">
      <c r="A52" s="3">
        <v>155</v>
      </c>
      <c r="B52" s="3">
        <f>DEGREES(ATAN(SIN(RADIANS(A52))/(COS(RADIANS(A52))+$B$13)))</f>
        <v>-47.412253068072935</v>
      </c>
      <c r="C52" s="3">
        <f>IF(B52&lt;0,180+B52,B52)</f>
        <v>132.58774693192706</v>
      </c>
      <c r="D52" s="3">
        <f>DEGREES(ATAN(SIN(RADIANS(180-A52))/(COS(RADIANS(180-A52))+$B$12)))</f>
        <v>12.5</v>
      </c>
      <c r="E52" s="3">
        <f>($B$5*$B$5/(($B$3+$B$5)*($B$3+$B$5)))*(1+$B$13*$B$13+2*$B$13*COS(RADIANS(A52)))*$B$9</f>
        <v>25.028325792161688</v>
      </c>
      <c r="F52" s="3">
        <f>($B$3*$B$5/(($B$3+$B$5)*($B$3+$B$5)))*(1+$B$12*$B$12+2*$B$12*COS(RADIANS(180-A52)))*$B$9</f>
        <v>149.97167420783833</v>
      </c>
      <c r="G52" s="1">
        <f t="shared" si="14"/>
        <v>2.8056577931643276</v>
      </c>
      <c r="H52" s="1">
        <f t="shared" si="6"/>
        <v>0.25606987857862723</v>
      </c>
      <c r="I52" s="1">
        <f>$B$14*(1+(1/SIN(0.5*RADIANS(A52))))</f>
        <v>17.6977408054944</v>
      </c>
    </row>
    <row r="53" spans="1:9" ht="15">
      <c r="A53" s="3">
        <v>160</v>
      </c>
      <c r="B53" s="3">
        <f t="shared" si="8"/>
        <v>-39.03480627345693</v>
      </c>
      <c r="C53" s="3">
        <f t="shared" si="9"/>
        <v>140.96519372654308</v>
      </c>
      <c r="D53" s="3">
        <f t="shared" si="10"/>
        <v>9.999999999999998</v>
      </c>
      <c r="E53" s="3">
        <f t="shared" si="11"/>
        <v>22.40189817927886</v>
      </c>
      <c r="F53" s="3">
        <f t="shared" si="12"/>
        <v>152.59810182072115</v>
      </c>
      <c r="G53" s="1">
        <f t="shared" si="14"/>
        <v>3.20531388712847</v>
      </c>
      <c r="H53" s="1">
        <f t="shared" si="6"/>
        <v>0.25385665297143606</v>
      </c>
      <c r="I53" s="1">
        <f t="shared" si="13"/>
        <v>17.62034221925536</v>
      </c>
    </row>
    <row r="54" spans="1:9" ht="15">
      <c r="A54" s="3">
        <v>165</v>
      </c>
      <c r="B54" s="3">
        <f>DEGREES(ATAN(SIN(RADIANS(A54))/(COS(RADIANS(A54))+$B$13)))</f>
        <v>-30.01212757893534</v>
      </c>
      <c r="C54" s="3">
        <f>IF(B54&lt;0,180+B54,B54)</f>
        <v>149.98787242106465</v>
      </c>
      <c r="D54" s="3">
        <f>DEGREES(ATAN(SIN(RADIANS(180-A54))/(COS(RADIANS(180-A54))+$B$12)))</f>
        <v>7.500000000000001</v>
      </c>
      <c r="E54" s="3">
        <f>($B$5*$B$5/(($B$3+$B$5)*($B$3+$B$5)))*(1+$B$13*$B$13+2*$B$13*COS(RADIANS(A54)))*$B$9</f>
        <v>20.338098316580442</v>
      </c>
      <c r="F54" s="3">
        <f>($B$3*$B$5/(($B$3+$B$5)*($B$3+$B$5)))*(1+$B$12*$B$12+2*$B$12*COS(RADIANS(180-A54)))*$B$9</f>
        <v>154.6619016834196</v>
      </c>
      <c r="G54" s="1">
        <f t="shared" si="14"/>
        <v>3.60732311911313</v>
      </c>
      <c r="H54" s="1">
        <f t="shared" si="6"/>
        <v>0.2521572401450382</v>
      </c>
      <c r="I54" s="1">
        <f>$B$14*(1+(1/SIN(0.5*RADIANS(A54))))</f>
        <v>17.560912150412697</v>
      </c>
    </row>
    <row r="55" spans="1:9" ht="15">
      <c r="A55" s="3">
        <v>170</v>
      </c>
      <c r="B55" s="3">
        <f t="shared" si="8"/>
        <v>-20.39900855293471</v>
      </c>
      <c r="C55" s="3">
        <f t="shared" si="9"/>
        <v>159.6009914470653</v>
      </c>
      <c r="D55" s="3">
        <f t="shared" si="10"/>
        <v>4.999999999999999</v>
      </c>
      <c r="E55" s="3">
        <f t="shared" si="11"/>
        <v>18.852632967177996</v>
      </c>
      <c r="F55" s="3">
        <f t="shared" si="12"/>
        <v>156.14736703282202</v>
      </c>
      <c r="G55" s="1">
        <f t="shared" si="14"/>
        <v>3.962885652883296</v>
      </c>
      <c r="H55" s="1">
        <f t="shared" si="6"/>
        <v>0.25095495938583673</v>
      </c>
      <c r="I55" s="1">
        <f t="shared" si="13"/>
        <v>17.518867258684423</v>
      </c>
    </row>
    <row r="56" spans="1:9" ht="15">
      <c r="A56" s="3">
        <v>175</v>
      </c>
      <c r="B56" s="3">
        <f>DEGREES(ATAN(SIN(RADIANS(A56))/(COS(RADIANS(A56))+$B$13)))</f>
        <v>-10.326327647684245</v>
      </c>
      <c r="C56" s="3">
        <f>IF(B56&lt;0,180+B56,B56)</f>
        <v>169.67367235231575</v>
      </c>
      <c r="D56" s="3">
        <f>DEGREES(ATAN(SIN(RADIANS(180-A56))/(COS(RADIANS(180-A56))+$B$12)))</f>
        <v>2.5</v>
      </c>
      <c r="E56" s="3">
        <f>($B$5*$B$5/(($B$3+$B$5)*($B$3+$B$5)))*(1+$B$13*$B$13+2*$B$13*COS(RADIANS(A56)))*$B$9</f>
        <v>17.95680741932897</v>
      </c>
      <c r="F56" s="3">
        <f>($B$3*$B$5/(($B$3+$B$5)*($B$3+$B$5)))*(1+$B$12*$B$12+2*$B$12*COS(RADIANS(180-A56)))*$B$9</f>
        <v>157.04319258067105</v>
      </c>
      <c r="G56" s="1">
        <f t="shared" si="14"/>
        <v>4.21180103504781</v>
      </c>
      <c r="H56" s="1">
        <f t="shared" si="6"/>
        <v>0.2502381712908301</v>
      </c>
      <c r="I56" s="1">
        <f>$B$14*(1+(1/SIN(0.5*RADIANS(A56))))</f>
        <v>17.493800503173254</v>
      </c>
    </row>
    <row r="57" spans="1:9" ht="15">
      <c r="A57" s="3">
        <v>179.999999</v>
      </c>
      <c r="B57" s="3">
        <f t="shared" si="8"/>
        <v>-2.074074096834106E-06</v>
      </c>
      <c r="C57" s="3">
        <f t="shared" si="9"/>
        <v>179.9999979259259</v>
      </c>
      <c r="D57" s="3">
        <f t="shared" si="10"/>
        <v>4.999999987376214E-07</v>
      </c>
      <c r="E57" s="3">
        <f t="shared" si="11"/>
        <v>17.657439446366798</v>
      </c>
      <c r="F57" s="3">
        <f t="shared" si="12"/>
        <v>157.34256055363323</v>
      </c>
      <c r="G57" s="1">
        <f t="shared" si="14"/>
        <v>4.301783342927498</v>
      </c>
      <c r="H57" s="1">
        <f t="shared" si="6"/>
        <v>0.25</v>
      </c>
      <c r="I57" s="1">
        <f t="shared" si="13"/>
        <v>17.48547142857143</v>
      </c>
    </row>
    <row r="58" spans="1:6" ht="15">
      <c r="A58" s="3"/>
      <c r="D58" s="3"/>
      <c r="E58" s="3"/>
      <c r="F58" s="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Cline</dc:creator>
  <cp:keywords/>
  <dc:description/>
  <cp:lastModifiedBy>Wollersheim, Hans-Juergen Dr.</cp:lastModifiedBy>
  <cp:lastPrinted>2008-12-12T20:12:28Z</cp:lastPrinted>
  <dcterms:created xsi:type="dcterms:W3CDTF">2008-06-08T18:08:36Z</dcterms:created>
  <dcterms:modified xsi:type="dcterms:W3CDTF">2020-11-13T15:40:26Z</dcterms:modified>
  <cp:category/>
  <cp:version/>
  <cp:contentType/>
  <cp:contentStatus/>
</cp:coreProperties>
</file>